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Pierre\Google Drive\Formations\Distribution\Cours Caract postes, module 2\"/>
    </mc:Choice>
  </mc:AlternateContent>
  <bookViews>
    <workbookView xWindow="0" yWindow="0" windowWidth="20490" windowHeight="7755" tabRatio="570"/>
  </bookViews>
  <sheets>
    <sheet name="Ex 2-1" sheetId="12" r:id="rId1"/>
  </sheets>
  <definedNames>
    <definedName name="solver_adj" localSheetId="0" hidden="1">'Ex 2-1'!$H$59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'Ex 2-1'!$E$59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2" l="1"/>
  <c r="F66" i="12"/>
  <c r="L66" i="12" s="1"/>
  <c r="M51" i="12"/>
  <c r="I42" i="12"/>
  <c r="H42" i="12" s="1"/>
  <c r="M36" i="12"/>
  <c r="L36" i="12"/>
  <c r="I36" i="12"/>
  <c r="H36" i="12" s="1"/>
  <c r="K36" i="12" s="1"/>
  <c r="M35" i="12"/>
  <c r="L35" i="12"/>
  <c r="I35" i="12"/>
  <c r="H35" i="12"/>
  <c r="K35" i="12" s="1"/>
  <c r="M34" i="12"/>
  <c r="L34" i="12"/>
  <c r="I34" i="12"/>
  <c r="H34" i="12" s="1"/>
  <c r="K34" i="12" s="1"/>
  <c r="M33" i="12"/>
  <c r="L33" i="12"/>
  <c r="I33" i="12"/>
  <c r="H33" i="12" s="1"/>
  <c r="K33" i="12" s="1"/>
  <c r="L32" i="12"/>
  <c r="I32" i="12"/>
  <c r="H32" i="12" s="1"/>
  <c r="K32" i="12" s="1"/>
  <c r="M32" i="12" s="1"/>
  <c r="I31" i="12"/>
  <c r="H31" i="12" s="1"/>
  <c r="K31" i="12" s="1"/>
  <c r="L31" i="12" s="1"/>
  <c r="L37" i="12" s="1"/>
  <c r="I24" i="12"/>
  <c r="M24" i="12" s="1"/>
  <c r="H24" i="12"/>
  <c r="K24" i="12" s="1"/>
  <c r="M23" i="12"/>
  <c r="I23" i="12"/>
  <c r="H23" i="12" s="1"/>
  <c r="I22" i="12"/>
  <c r="H22" i="12" s="1"/>
  <c r="I21" i="12"/>
  <c r="M21" i="12" s="1"/>
  <c r="I20" i="12"/>
  <c r="H20" i="12" s="1"/>
  <c r="I19" i="12"/>
  <c r="H19" i="12" s="1"/>
  <c r="L7" i="12"/>
  <c r="D11" i="12" s="1"/>
  <c r="D12" i="12" s="1"/>
  <c r="G11" i="12" l="1"/>
  <c r="F11" i="12"/>
  <c r="C11" i="12"/>
  <c r="C12" i="12" s="1"/>
  <c r="L49" i="12"/>
  <c r="K19" i="12"/>
  <c r="L19" i="12" s="1"/>
  <c r="L22" i="12"/>
  <c r="K22" i="12"/>
  <c r="L23" i="12"/>
  <c r="K23" i="12"/>
  <c r="K20" i="12"/>
  <c r="M20" i="12" s="1"/>
  <c r="M22" i="12"/>
  <c r="L24" i="12"/>
  <c r="E48" i="12"/>
  <c r="M31" i="12"/>
  <c r="M37" i="12" s="1"/>
  <c r="F48" i="12"/>
  <c r="H21" i="12"/>
  <c r="M19" i="12" l="1"/>
  <c r="M25" i="12" s="1"/>
  <c r="K11" i="12"/>
  <c r="M11" i="12" s="1"/>
  <c r="L11" i="12"/>
  <c r="M49" i="12"/>
  <c r="K49" i="12" s="1"/>
  <c r="H49" i="12" s="1"/>
  <c r="H50" i="12" s="1"/>
  <c r="H51" i="12" s="1"/>
  <c r="L21" i="12"/>
  <c r="K21" i="12"/>
  <c r="L20" i="12"/>
  <c r="L25" i="12" s="1"/>
  <c r="K37" i="12"/>
  <c r="H37" i="12" s="1"/>
  <c r="K25" i="12" l="1"/>
  <c r="H25" i="12" s="1"/>
  <c r="H26" i="12" s="1"/>
  <c r="E49" i="12" s="1"/>
  <c r="E50" i="12" s="1"/>
  <c r="E51" i="12" s="1"/>
  <c r="L26" i="12"/>
  <c r="L48" i="12"/>
  <c r="M26" i="12"/>
  <c r="M48" i="12"/>
  <c r="K67" i="12"/>
  <c r="E67" i="12"/>
  <c r="I37" i="12"/>
  <c r="I49" i="12"/>
  <c r="I50" i="12" s="1"/>
  <c r="I51" i="12" s="1"/>
  <c r="M57" i="12" l="1"/>
  <c r="M58" i="12"/>
  <c r="I25" i="12"/>
  <c r="I26" i="12" s="1"/>
  <c r="F49" i="12" s="1"/>
  <c r="F50" i="12" s="1"/>
  <c r="F51" i="12" s="1"/>
  <c r="K48" i="12"/>
  <c r="I48" i="12" s="1"/>
  <c r="L67" i="12"/>
  <c r="F67" i="12"/>
  <c r="L71" i="12" l="1"/>
  <c r="H48" i="12"/>
  <c r="F68" i="12"/>
  <c r="F69" i="12" s="1"/>
  <c r="N57" i="12"/>
  <c r="N58" i="12"/>
  <c r="E58" i="12" s="1"/>
  <c r="L68" i="12"/>
  <c r="L69" i="12" s="1"/>
  <c r="F71" i="12"/>
  <c r="K71" i="12"/>
  <c r="E71" i="12"/>
  <c r="M59" i="12"/>
  <c r="M60" i="12"/>
  <c r="K68" i="12"/>
  <c r="K69" i="12" s="1"/>
  <c r="E68" i="12"/>
  <c r="E69" i="12" s="1"/>
  <c r="E57" i="12"/>
  <c r="E70" i="12"/>
  <c r="F70" i="12"/>
  <c r="J58" i="12" l="1"/>
  <c r="F72" i="12"/>
  <c r="L70" i="12"/>
  <c r="L72" i="12" s="1"/>
  <c r="J57" i="12"/>
  <c r="R58" i="12"/>
  <c r="P58" i="12"/>
  <c r="K58" i="12" s="1"/>
  <c r="E72" i="12"/>
  <c r="K70" i="12"/>
  <c r="K72" i="12" s="1"/>
  <c r="R57" i="12"/>
  <c r="P57" i="12"/>
  <c r="K57" i="12" s="1"/>
  <c r="N59" i="12"/>
  <c r="N60" i="12"/>
  <c r="M72" i="12" l="1"/>
  <c r="L73" i="12" s="1"/>
  <c r="G72" i="12"/>
  <c r="F73" i="12" s="1"/>
  <c r="R60" i="12"/>
  <c r="P60" i="12"/>
  <c r="R59" i="12"/>
  <c r="P59" i="12"/>
  <c r="K73" i="12" l="1"/>
  <c r="E60" i="12" s="1"/>
  <c r="K60" i="12" s="1"/>
  <c r="E73" i="12"/>
  <c r="E59" i="12" s="1"/>
  <c r="J60" i="12" l="1"/>
  <c r="K59" i="12"/>
  <c r="K61" i="12" s="1"/>
  <c r="E61" i="12"/>
  <c r="J59" i="12"/>
  <c r="J61" i="12" l="1"/>
</calcChain>
</file>

<file path=xl/comments1.xml><?xml version="1.0" encoding="utf-8"?>
<comments xmlns="http://schemas.openxmlformats.org/spreadsheetml/2006/main">
  <authors>
    <author>Jean-Pierre Laflamme</author>
  </authors>
  <commentList>
    <comment ref="E10" authorId="0" shapeId="0">
      <text>
        <r>
          <rPr>
            <sz val="9"/>
            <color indexed="81"/>
            <rFont val="Tahoma"/>
            <family val="2"/>
          </rPr>
          <t>Sur une base de puissance de 100 MVA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Sur une base de puissance de 100 MVA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Dyn ou YNd</t>
        </r>
      </text>
    </comment>
    <comment ref="F19" authorId="0" shapeId="0">
      <text>
        <r>
          <rPr>
            <sz val="9"/>
            <color indexed="81"/>
            <rFont val="Tahoma"/>
            <family val="2"/>
          </rPr>
          <t>Sur la base de puissance du transfo indiquée à la colonne "C"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HT, Barre MT, Ligne MT</t>
        </r>
      </text>
    </comment>
  </commentList>
</comments>
</file>

<file path=xl/sharedStrings.xml><?xml version="1.0" encoding="utf-8"?>
<sst xmlns="http://schemas.openxmlformats.org/spreadsheetml/2006/main" count="184" uniqueCount="79">
  <si>
    <t>R0</t>
  </si>
  <si>
    <t>R1</t>
  </si>
  <si>
    <t>X1</t>
  </si>
  <si>
    <t>X0</t>
  </si>
  <si>
    <t>p.u.</t>
  </si>
  <si>
    <t>kV</t>
  </si>
  <si>
    <t>ohm</t>
  </si>
  <si>
    <t>MVA</t>
  </si>
  <si>
    <t>%</t>
  </si>
  <si>
    <t>R</t>
  </si>
  <si>
    <t>X</t>
  </si>
  <si>
    <t>G</t>
  </si>
  <si>
    <t>B</t>
  </si>
  <si>
    <t>G0</t>
  </si>
  <si>
    <t>B0</t>
  </si>
  <si>
    <t>Défaut 3 ph :</t>
  </si>
  <si>
    <t>A</t>
  </si>
  <si>
    <t>Défaut phase-neutre :</t>
  </si>
  <si>
    <t>Symétrique</t>
  </si>
  <si>
    <t>L1</t>
  </si>
  <si>
    <t>L2</t>
  </si>
  <si>
    <t>a x Z1</t>
  </si>
  <si>
    <t>a</t>
  </si>
  <si>
    <t>a²</t>
  </si>
  <si>
    <t>Rf</t>
  </si>
  <si>
    <t>Z0+3 Zf-a Z1</t>
  </si>
  <si>
    <t>Z1²+2 Z1 (Z0+3 Zf)</t>
  </si>
  <si>
    <t>Z1²</t>
  </si>
  <si>
    <t>Z0+3 Zf</t>
  </si>
  <si>
    <t>Z1 (Z0+3 Zf)</t>
  </si>
  <si>
    <t>a² x Z1</t>
  </si>
  <si>
    <t>Z0+3 Zf-a² Z1</t>
  </si>
  <si>
    <t>(Z0+3 Zf-a Z1) / (Z1²+2 Z1 (Z0+3 Zf))</t>
  </si>
  <si>
    <t>(Z0+3 Zf-a² Z1) / (Z1²+2 Z1 (Z0+3 Zf))</t>
  </si>
  <si>
    <t>Défaut ph-ph-terre :</t>
  </si>
  <si>
    <t>Marge séc.:</t>
  </si>
  <si>
    <t>Calcul des  défauts ph-ph terre :</t>
  </si>
  <si>
    <t>(pour le calcul de l'assymétrie)</t>
  </si>
  <si>
    <t>Transfo. de puissance</t>
  </si>
  <si>
    <t>No</t>
  </si>
  <si>
    <t>Puiss.</t>
  </si>
  <si>
    <t>Ligne HT</t>
  </si>
  <si>
    <t>Transfo. de MALT</t>
  </si>
  <si>
    <t>Z</t>
  </si>
  <si>
    <t>X/R</t>
  </si>
  <si>
    <t>Inductance série</t>
  </si>
  <si>
    <t>HT</t>
  </si>
  <si>
    <t>Endroit du défaut :</t>
  </si>
  <si>
    <t>Total des transfo de MALT :</t>
  </si>
  <si>
    <t>YNd</t>
  </si>
  <si>
    <t>Barre MT</t>
  </si>
  <si>
    <t>Lignes MT</t>
  </si>
  <si>
    <t>1re crête</t>
  </si>
  <si>
    <t>Coupure</t>
  </si>
  <si>
    <t>Temps de coupure :</t>
  </si>
  <si>
    <t>msec</t>
  </si>
  <si>
    <t>Max :</t>
  </si>
  <si>
    <t>Const de temps</t>
  </si>
  <si>
    <t>Rd</t>
  </si>
  <si>
    <t>Xd</t>
  </si>
  <si>
    <t>Tension :</t>
  </si>
  <si>
    <t>Retenu :</t>
  </si>
  <si>
    <t>S</t>
  </si>
  <si>
    <t>MT</t>
  </si>
  <si>
    <t>R ht</t>
  </si>
  <si>
    <t>X ht</t>
  </si>
  <si>
    <t>G ht</t>
  </si>
  <si>
    <t>B ht</t>
  </si>
  <si>
    <t>A approx.</t>
  </si>
  <si>
    <t>IMPORTANT : Les données ne doivent être saisies que dans les cases vertes</t>
  </si>
  <si>
    <t>vue en HT :</t>
  </si>
  <si>
    <t>vue en MT :</t>
  </si>
  <si>
    <t>Total de l'impédance des transfo de puiss. :</t>
  </si>
  <si>
    <t>Connection des transfos :</t>
  </si>
  <si>
    <t>Zbase :</t>
  </si>
  <si>
    <t>Vph-ph HT :</t>
  </si>
  <si>
    <t>Vph-ph MT :</t>
  </si>
  <si>
    <r>
      <rPr>
        <sz val="14"/>
        <color theme="1"/>
        <rFont val="Calibri"/>
        <family val="2"/>
        <scheme val="minor"/>
      </rPr>
      <t>Complément au cours</t>
    </r>
    <r>
      <rPr>
        <b/>
        <sz val="14"/>
        <color theme="1"/>
        <rFont val="Calibri"/>
        <family val="2"/>
        <scheme val="minor"/>
      </rPr>
      <t xml:space="preserve"> "Caractéristiques électriques des postes de distribution HT/MT", Module 2</t>
    </r>
  </si>
  <si>
    <r>
      <t xml:space="preserve">Calcul des courants de court-circuits symétrique, de crête et de coupure </t>
    </r>
    <r>
      <rPr>
        <sz val="11"/>
        <color rgb="FF0000FF"/>
        <rFont val="Calibri"/>
        <family val="2"/>
        <scheme val="minor"/>
      </rPr>
      <t xml:space="preserve">( </t>
    </r>
    <r>
      <rPr>
        <b/>
        <sz val="11"/>
        <color rgb="FF0000FF"/>
        <rFont val="Calibri"/>
        <family val="2"/>
        <scheme val="minor"/>
      </rPr>
      <t>3E Ing.</t>
    </r>
    <r>
      <rPr>
        <sz val="11"/>
        <color rgb="FF0000FF"/>
        <rFont val="Calibri"/>
        <family val="2"/>
        <scheme val="minor"/>
      </rPr>
      <t>, J.P. Laflamme, ing. 2015-03-09)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</si>
</sst>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000000"/>
    <numFmt numFmtId="167" formatCode="0.0"/>
    <numFmt numFmtId="168" formatCode="0.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5" fontId="0" fillId="0" borderId="2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167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167" fontId="8" fillId="0" borderId="1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8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8" fillId="3" borderId="0" xfId="0" applyNumberFormat="1" applyFont="1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7" fontId="0" fillId="2" borderId="0" xfId="0" applyNumberFormat="1" applyFill="1" applyAlignment="1" applyProtection="1">
      <alignment horizontal="center" vertical="center"/>
      <protection locked="0"/>
    </xf>
    <xf numFmtId="2" fontId="0" fillId="2" borderId="0" xfId="0" applyNumberFormat="1" applyFill="1" applyAlignment="1" applyProtection="1">
      <alignment horizontal="center" vertical="center"/>
      <protection locked="0"/>
    </xf>
    <xf numFmtId="167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locked="0"/>
    </xf>
    <xf numFmtId="165" fontId="0" fillId="2" borderId="0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horizontal="center" vertical="center"/>
      <protection locked="0"/>
    </xf>
    <xf numFmtId="9" fontId="0" fillId="2" borderId="0" xfId="0" applyNumberFormat="1" applyFill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73"/>
  <sheetViews>
    <sheetView showGridLines="0" tabSelected="1" workbookViewId="0">
      <selection activeCell="C54" sqref="C54"/>
    </sheetView>
  </sheetViews>
  <sheetFormatPr baseColWidth="10" defaultColWidth="10.140625" defaultRowHeight="15" x14ac:dyDescent="0.25"/>
  <cols>
    <col min="1" max="1" width="2.85546875" style="67" customWidth="1"/>
    <col min="2" max="2" width="9.140625" style="67" customWidth="1"/>
    <col min="3" max="3" width="10.140625" style="67"/>
    <col min="4" max="4" width="9.28515625" style="67" customWidth="1"/>
    <col min="5" max="6" width="10.140625" style="67"/>
    <col min="7" max="7" width="7.42578125" style="67" customWidth="1"/>
    <col min="8" max="8" width="10.5703125" style="67" bestFit="1" customWidth="1"/>
    <col min="9" max="11" width="10.140625" style="67"/>
    <col min="12" max="13" width="10.7109375" style="67" customWidth="1"/>
    <col min="14" max="14" width="6.7109375" style="67" customWidth="1"/>
    <col min="15" max="15" width="6.85546875" style="67" customWidth="1"/>
    <col min="16" max="16" width="10.5703125" style="67" customWidth="1"/>
    <col min="17" max="17" width="7.5703125" style="67" customWidth="1"/>
    <col min="18" max="16384" width="10.140625" style="67"/>
  </cols>
  <sheetData>
    <row r="1" spans="2:19" s="46" customFormat="1" ht="25.5" customHeight="1" x14ac:dyDescent="0.25">
      <c r="B1" s="82" t="s">
        <v>77</v>
      </c>
      <c r="C1" s="82"/>
      <c r="D1" s="82"/>
      <c r="E1" s="82"/>
      <c r="F1" s="82"/>
      <c r="G1" s="82"/>
    </row>
    <row r="2" spans="2:19" ht="18.75" x14ac:dyDescent="0.25">
      <c r="B2" s="83" t="s">
        <v>78</v>
      </c>
    </row>
    <row r="3" spans="2:19" s="84" customFormat="1" ht="9.75" customHeight="1" x14ac:dyDescent="0.25">
      <c r="B3" s="83"/>
    </row>
    <row r="4" spans="2:19" s="84" customFormat="1" ht="17.25" x14ac:dyDescent="0.25">
      <c r="B4" s="86" t="s">
        <v>69</v>
      </c>
    </row>
    <row r="5" spans="2:19" s="28" customFormat="1" ht="5.25" customHeight="1" thickBot="1" x14ac:dyDescent="0.3">
      <c r="O5" s="29"/>
      <c r="P5" s="29"/>
      <c r="Q5" s="29"/>
      <c r="R5" s="29"/>
      <c r="S5" s="29"/>
    </row>
    <row r="6" spans="2:19" ht="6.75" customHeight="1" thickTop="1" x14ac:dyDescent="0.25"/>
    <row r="7" spans="2:19" ht="15" customHeight="1" x14ac:dyDescent="0.25">
      <c r="B7" s="15" t="s">
        <v>41</v>
      </c>
      <c r="G7" s="16" t="s">
        <v>75</v>
      </c>
      <c r="H7" s="70">
        <v>230</v>
      </c>
      <c r="I7" s="2" t="s">
        <v>5</v>
      </c>
      <c r="K7" s="16" t="s">
        <v>74</v>
      </c>
      <c r="L7" s="4">
        <f>H7^2/100</f>
        <v>529</v>
      </c>
      <c r="M7" s="2" t="s">
        <v>6</v>
      </c>
    </row>
    <row r="8" spans="2:19" customFormat="1" ht="6" customHeight="1" x14ac:dyDescent="0.25"/>
    <row r="9" spans="2:19" x14ac:dyDescent="0.25">
      <c r="C9" s="7" t="s">
        <v>1</v>
      </c>
      <c r="D9" s="7" t="s">
        <v>2</v>
      </c>
      <c r="E9" s="68"/>
      <c r="F9" s="7" t="s">
        <v>0</v>
      </c>
      <c r="G9" s="7" t="s">
        <v>3</v>
      </c>
      <c r="H9" s="7"/>
      <c r="K9" s="18"/>
      <c r="L9" s="11" t="s">
        <v>13</v>
      </c>
      <c r="M9" s="11" t="s">
        <v>14</v>
      </c>
      <c r="N9" s="68"/>
      <c r="R9" s="6"/>
    </row>
    <row r="10" spans="2:19" x14ac:dyDescent="0.25">
      <c r="C10" s="71">
        <v>4.7999999999999996E-3</v>
      </c>
      <c r="D10" s="71">
        <v>4.1700000000000001E-2</v>
      </c>
      <c r="E10" s="2" t="s">
        <v>4</v>
      </c>
      <c r="F10" s="71">
        <v>8.0999999999999996E-3</v>
      </c>
      <c r="G10" s="71">
        <v>4.5900000000000003E-2</v>
      </c>
      <c r="H10" s="2" t="s">
        <v>4</v>
      </c>
      <c r="I10" s="22"/>
      <c r="J10" s="22"/>
      <c r="K10" s="36"/>
      <c r="L10" s="19"/>
      <c r="M10" s="19"/>
      <c r="N10" s="2"/>
      <c r="O10"/>
      <c r="P10"/>
      <c r="S10"/>
    </row>
    <row r="11" spans="2:19" s="52" customFormat="1" x14ac:dyDescent="0.25">
      <c r="B11" s="87" t="s">
        <v>70</v>
      </c>
      <c r="C11" s="56">
        <f>C10*$L$7</f>
        <v>2.5391999999999997</v>
      </c>
      <c r="D11" s="56">
        <f>D10*$L$7</f>
        <v>22.0593</v>
      </c>
      <c r="E11" s="53" t="s">
        <v>6</v>
      </c>
      <c r="F11" s="56">
        <f>F10*$L$7</f>
        <v>4.2848999999999995</v>
      </c>
      <c r="G11" s="56">
        <f>G10*$L$7</f>
        <v>24.281100000000002</v>
      </c>
      <c r="H11" s="53" t="s">
        <v>6</v>
      </c>
      <c r="I11" s="54"/>
      <c r="J11" s="54"/>
      <c r="K11" s="42">
        <f>F11^2+G11^2</f>
        <v>607.93218522000006</v>
      </c>
      <c r="L11" s="19">
        <f>F11/$K11</f>
        <v>7.0483190463906248E-3</v>
      </c>
      <c r="M11" s="19">
        <f>-G11/$K11</f>
        <v>-3.9940474596213547E-2</v>
      </c>
      <c r="N11" s="53" t="s">
        <v>62</v>
      </c>
      <c r="O11" s="55"/>
      <c r="P11" s="55"/>
      <c r="S11" s="55"/>
    </row>
    <row r="12" spans="2:19" s="52" customFormat="1" x14ac:dyDescent="0.25">
      <c r="B12" s="87" t="s">
        <v>71</v>
      </c>
      <c r="C12" s="43">
        <f>C11*($H$16/$G$16)^2</f>
        <v>3.9007269986113854E-2</v>
      </c>
      <c r="D12" s="43">
        <f>D11*($H$16/$G$16)^2</f>
        <v>0.33887565800436414</v>
      </c>
      <c r="E12" s="60" t="s">
        <v>6</v>
      </c>
      <c r="F12" s="43"/>
      <c r="G12" s="43"/>
      <c r="H12" s="60"/>
      <c r="I12" s="54"/>
      <c r="J12" s="54"/>
      <c r="K12" s="42"/>
      <c r="L12" s="19"/>
      <c r="M12" s="19"/>
      <c r="N12" s="53"/>
      <c r="O12" s="55"/>
      <c r="P12" s="55"/>
      <c r="S12" s="55"/>
    </row>
    <row r="13" spans="2:19" s="28" customFormat="1" ht="5.25" customHeight="1" thickBot="1" x14ac:dyDescent="0.3">
      <c r="O13" s="29"/>
      <c r="P13" s="29"/>
      <c r="Q13" s="29"/>
      <c r="R13" s="29"/>
      <c r="S13" s="29"/>
    </row>
    <row r="14" spans="2:19" ht="7.5" customHeight="1" thickTop="1" x14ac:dyDescent="0.25">
      <c r="O14"/>
      <c r="P14"/>
      <c r="Q14"/>
      <c r="R14"/>
      <c r="S14"/>
    </row>
    <row r="15" spans="2:19" ht="15" customHeight="1" x14ac:dyDescent="0.25">
      <c r="B15" s="15" t="s">
        <v>38</v>
      </c>
      <c r="G15" s="67" t="s">
        <v>46</v>
      </c>
      <c r="H15" s="67" t="s">
        <v>63</v>
      </c>
      <c r="R15"/>
      <c r="S15"/>
    </row>
    <row r="16" spans="2:19" ht="15" customHeight="1" x14ac:dyDescent="0.25">
      <c r="B16" s="15"/>
      <c r="F16" s="16" t="s">
        <v>76</v>
      </c>
      <c r="G16" s="70">
        <v>213</v>
      </c>
      <c r="H16" s="70">
        <v>26.4</v>
      </c>
      <c r="I16" s="67" t="s">
        <v>5</v>
      </c>
      <c r="L16" s="16" t="s">
        <v>73</v>
      </c>
      <c r="M16" s="70" t="s">
        <v>49</v>
      </c>
      <c r="O16" s="16"/>
      <c r="P16" s="4"/>
      <c r="Q16" s="2"/>
      <c r="R16"/>
      <c r="S16"/>
    </row>
    <row r="17" spans="2:19" customFormat="1" ht="6" customHeight="1" x14ac:dyDescent="0.25"/>
    <row r="18" spans="2:19" ht="15.75" x14ac:dyDescent="0.25">
      <c r="B18" s="24" t="s">
        <v>39</v>
      </c>
      <c r="C18" s="11" t="s">
        <v>40</v>
      </c>
      <c r="D18" s="11"/>
      <c r="E18" s="11" t="s">
        <v>44</v>
      </c>
      <c r="F18" s="11" t="s">
        <v>43</v>
      </c>
      <c r="G18" s="11"/>
      <c r="H18" s="34" t="s">
        <v>64</v>
      </c>
      <c r="I18" s="34" t="s">
        <v>65</v>
      </c>
      <c r="J18" s="20"/>
      <c r="K18" s="20"/>
      <c r="L18" s="34" t="s">
        <v>66</v>
      </c>
      <c r="M18" s="34" t="s">
        <v>67</v>
      </c>
      <c r="N18" s="25"/>
      <c r="O18"/>
      <c r="P18"/>
      <c r="Q18"/>
      <c r="R18"/>
      <c r="S18"/>
    </row>
    <row r="19" spans="2:19" x14ac:dyDescent="0.25">
      <c r="B19" s="67">
        <v>1</v>
      </c>
      <c r="C19" s="70">
        <v>67</v>
      </c>
      <c r="D19" s="2" t="s">
        <v>7</v>
      </c>
      <c r="E19" s="73">
        <v>63</v>
      </c>
      <c r="F19" s="74">
        <v>23.9</v>
      </c>
      <c r="G19" s="2" t="s">
        <v>8</v>
      </c>
      <c r="H19" s="3">
        <f t="shared" ref="H19:H24" si="0">I19/E19</f>
        <v>2.5685442484737573</v>
      </c>
      <c r="I19" s="3">
        <f t="shared" ref="I19:I24" si="1">F19/100*$G$16^2/$C19*E19/SQRT(1+E19^2)</f>
        <v>161.81828765384671</v>
      </c>
      <c r="J19" s="53" t="s">
        <v>6</v>
      </c>
      <c r="K19" s="57">
        <f t="shared" ref="K19:K24" si="2">H19^2+I19^2</f>
        <v>26191.755638779447</v>
      </c>
      <c r="L19" s="19">
        <f t="shared" ref="L19:L24" si="3">IF(ISERR(H19),0,H19/$K19)</f>
        <v>9.8066898756140548E-5</v>
      </c>
      <c r="M19" s="19">
        <f t="shared" ref="M19:M24" si="4">-IF(ISERR(I19),0,I19/$K19)</f>
        <v>-6.1782146216368544E-3</v>
      </c>
      <c r="N19" s="53" t="s">
        <v>62</v>
      </c>
      <c r="O19"/>
      <c r="P19"/>
      <c r="Q19"/>
      <c r="R19"/>
      <c r="S19"/>
    </row>
    <row r="20" spans="2:19" x14ac:dyDescent="0.25">
      <c r="B20" s="67">
        <v>2</v>
      </c>
      <c r="C20" s="70">
        <v>67</v>
      </c>
      <c r="D20" s="2" t="s">
        <v>7</v>
      </c>
      <c r="E20" s="73">
        <v>63</v>
      </c>
      <c r="F20" s="74">
        <v>23.9</v>
      </c>
      <c r="G20" s="2" t="s">
        <v>8</v>
      </c>
      <c r="H20" s="3">
        <f t="shared" si="0"/>
        <v>2.5685442484737573</v>
      </c>
      <c r="I20" s="3">
        <f t="shared" si="1"/>
        <v>161.81828765384671</v>
      </c>
      <c r="J20" s="2" t="s">
        <v>6</v>
      </c>
      <c r="K20" s="57">
        <f t="shared" si="2"/>
        <v>26191.755638779447</v>
      </c>
      <c r="L20" s="19">
        <f t="shared" si="3"/>
        <v>9.8066898756140548E-5</v>
      </c>
      <c r="M20" s="19">
        <f t="shared" si="4"/>
        <v>-6.1782146216368544E-3</v>
      </c>
      <c r="N20" s="2" t="s">
        <v>62</v>
      </c>
      <c r="O20"/>
      <c r="P20"/>
      <c r="Q20"/>
      <c r="R20"/>
      <c r="S20"/>
    </row>
    <row r="21" spans="2:19" x14ac:dyDescent="0.25">
      <c r="B21" s="67">
        <v>3</v>
      </c>
      <c r="C21" s="70"/>
      <c r="D21" s="2" t="s">
        <v>7</v>
      </c>
      <c r="E21" s="73"/>
      <c r="F21" s="74"/>
      <c r="G21" s="2" t="s">
        <v>8</v>
      </c>
      <c r="H21" s="3" t="e">
        <f t="shared" si="0"/>
        <v>#DIV/0!</v>
      </c>
      <c r="I21" s="3" t="e">
        <f t="shared" si="1"/>
        <v>#DIV/0!</v>
      </c>
      <c r="J21" s="2" t="s">
        <v>6</v>
      </c>
      <c r="K21" s="57" t="e">
        <f t="shared" si="2"/>
        <v>#DIV/0!</v>
      </c>
      <c r="L21" s="19">
        <f t="shared" si="3"/>
        <v>0</v>
      </c>
      <c r="M21" s="19">
        <f t="shared" si="4"/>
        <v>0</v>
      </c>
      <c r="N21" s="2" t="s">
        <v>62</v>
      </c>
      <c r="O21"/>
      <c r="P21"/>
      <c r="Q21"/>
      <c r="R21"/>
      <c r="S21"/>
    </row>
    <row r="22" spans="2:19" x14ac:dyDescent="0.25">
      <c r="B22" s="67">
        <v>4</v>
      </c>
      <c r="C22" s="70"/>
      <c r="D22" s="2" t="s">
        <v>7</v>
      </c>
      <c r="E22" s="73"/>
      <c r="F22" s="74"/>
      <c r="G22" s="2" t="s">
        <v>8</v>
      </c>
      <c r="H22" s="3" t="e">
        <f t="shared" si="0"/>
        <v>#DIV/0!</v>
      </c>
      <c r="I22" s="3" t="e">
        <f t="shared" si="1"/>
        <v>#DIV/0!</v>
      </c>
      <c r="J22" s="2" t="s">
        <v>6</v>
      </c>
      <c r="K22" s="57" t="e">
        <f t="shared" si="2"/>
        <v>#DIV/0!</v>
      </c>
      <c r="L22" s="19">
        <f t="shared" si="3"/>
        <v>0</v>
      </c>
      <c r="M22" s="19">
        <f t="shared" si="4"/>
        <v>0</v>
      </c>
      <c r="N22" s="2" t="s">
        <v>62</v>
      </c>
      <c r="O22"/>
      <c r="P22"/>
      <c r="Q22"/>
      <c r="R22"/>
      <c r="S22"/>
    </row>
    <row r="23" spans="2:19" x14ac:dyDescent="0.25">
      <c r="B23" s="67">
        <v>5</v>
      </c>
      <c r="C23" s="70"/>
      <c r="D23" s="2" t="s">
        <v>7</v>
      </c>
      <c r="E23" s="73"/>
      <c r="F23" s="74"/>
      <c r="G23" s="2" t="s">
        <v>8</v>
      </c>
      <c r="H23" s="3" t="e">
        <f t="shared" si="0"/>
        <v>#DIV/0!</v>
      </c>
      <c r="I23" s="3" t="e">
        <f t="shared" si="1"/>
        <v>#DIV/0!</v>
      </c>
      <c r="J23" s="2" t="s">
        <v>6</v>
      </c>
      <c r="K23" s="57" t="e">
        <f t="shared" si="2"/>
        <v>#DIV/0!</v>
      </c>
      <c r="L23" s="19">
        <f t="shared" si="3"/>
        <v>0</v>
      </c>
      <c r="M23" s="19">
        <f t="shared" si="4"/>
        <v>0</v>
      </c>
      <c r="N23" s="2" t="s">
        <v>62</v>
      </c>
      <c r="O23"/>
      <c r="P23"/>
      <c r="Q23"/>
      <c r="R23"/>
      <c r="S23"/>
    </row>
    <row r="24" spans="2:19" x14ac:dyDescent="0.25">
      <c r="B24" s="68">
        <v>6</v>
      </c>
      <c r="C24" s="72"/>
      <c r="D24" s="23" t="s">
        <v>7</v>
      </c>
      <c r="E24" s="75"/>
      <c r="F24" s="76"/>
      <c r="G24" s="23" t="s">
        <v>8</v>
      </c>
      <c r="H24" s="21" t="e">
        <f t="shared" si="0"/>
        <v>#DIV/0!</v>
      </c>
      <c r="I24" s="21" t="e">
        <f t="shared" si="1"/>
        <v>#DIV/0!</v>
      </c>
      <c r="J24" s="23" t="s">
        <v>6</v>
      </c>
      <c r="K24" s="58" t="e">
        <f t="shared" si="2"/>
        <v>#DIV/0!</v>
      </c>
      <c r="L24" s="35">
        <f t="shared" si="3"/>
        <v>0</v>
      </c>
      <c r="M24" s="35">
        <f t="shared" si="4"/>
        <v>0</v>
      </c>
      <c r="N24" s="23" t="s">
        <v>62</v>
      </c>
      <c r="O24"/>
      <c r="P24"/>
      <c r="Q24"/>
      <c r="R24"/>
      <c r="S24"/>
    </row>
    <row r="25" spans="2:19" x14ac:dyDescent="0.25">
      <c r="B25" s="22"/>
      <c r="C25" s="22"/>
      <c r="E25" s="31" t="s">
        <v>72</v>
      </c>
      <c r="F25" s="31"/>
      <c r="G25" s="8" t="s">
        <v>70</v>
      </c>
      <c r="H25" s="38">
        <f>L25/$K25</f>
        <v>1.2842721242368786</v>
      </c>
      <c r="I25" s="38">
        <f>-M25/$K25</f>
        <v>80.909143826923355</v>
      </c>
      <c r="J25" s="39" t="s">
        <v>6</v>
      </c>
      <c r="K25" s="36">
        <f>L25^2+M25^2</f>
        <v>1.5271981211055627E-4</v>
      </c>
      <c r="L25" s="36">
        <f>SUM(L19:L24)</f>
        <v>1.961337975122811E-4</v>
      </c>
      <c r="M25" s="36">
        <f>SUM(M19:M24)</f>
        <v>-1.2356429243273709E-2</v>
      </c>
      <c r="N25" s="39" t="s">
        <v>62</v>
      </c>
      <c r="P25"/>
      <c r="Q25"/>
      <c r="R25"/>
      <c r="S25"/>
    </row>
    <row r="26" spans="2:19" x14ac:dyDescent="0.25">
      <c r="B26" s="14"/>
      <c r="C26" s="14"/>
      <c r="E26" s="14"/>
      <c r="F26" s="59"/>
      <c r="G26" s="8" t="s">
        <v>71</v>
      </c>
      <c r="H26" s="62">
        <f>H25*($H$16/$G$16)^2</f>
        <v>1.9729028625452064E-2</v>
      </c>
      <c r="I26" s="62">
        <f>I25*($H$16/$G$16)^2</f>
        <v>1.2429288034034802</v>
      </c>
      <c r="J26" s="60" t="s">
        <v>6</v>
      </c>
      <c r="K26" s="61"/>
      <c r="L26" s="66">
        <f>L25*($G$16/$H$16)^2</f>
        <v>1.2767438962544023E-2</v>
      </c>
      <c r="M26" s="66">
        <f>M25*($G$16/$H$16)^2</f>
        <v>-0.80434865464027339</v>
      </c>
      <c r="N26" s="60" t="s">
        <v>62</v>
      </c>
      <c r="P26"/>
      <c r="Q26"/>
      <c r="R26"/>
      <c r="S26"/>
    </row>
    <row r="27" spans="2:19" s="28" customFormat="1" ht="5.25" customHeight="1" thickBot="1" x14ac:dyDescent="0.3">
      <c r="O27" s="29"/>
      <c r="P27" s="29"/>
      <c r="Q27" s="29"/>
      <c r="R27" s="29"/>
      <c r="S27" s="29"/>
    </row>
    <row r="28" spans="2:19" ht="6" customHeight="1" thickTop="1" x14ac:dyDescent="0.25"/>
    <row r="29" spans="2:19" ht="15" customHeight="1" x14ac:dyDescent="0.25">
      <c r="B29" s="15" t="s">
        <v>42</v>
      </c>
    </row>
    <row r="30" spans="2:19" ht="15" customHeight="1" x14ac:dyDescent="0.25">
      <c r="B30" s="11" t="s">
        <v>39</v>
      </c>
      <c r="C30" s="11" t="s">
        <v>44</v>
      </c>
      <c r="D30" s="11" t="s">
        <v>43</v>
      </c>
      <c r="E30" s="11"/>
      <c r="F30" s="68"/>
      <c r="G30" s="68"/>
      <c r="H30" s="67" t="s">
        <v>9</v>
      </c>
      <c r="I30" s="67" t="s">
        <v>10</v>
      </c>
      <c r="K30" s="20"/>
      <c r="L30" s="34" t="s">
        <v>11</v>
      </c>
      <c r="M30" s="34" t="s">
        <v>12</v>
      </c>
      <c r="N30" s="25"/>
    </row>
    <row r="31" spans="2:19" ht="15" customHeight="1" x14ac:dyDescent="0.25">
      <c r="B31" s="67">
        <v>1</v>
      </c>
      <c r="C31" s="73"/>
      <c r="D31" s="77"/>
      <c r="E31" s="13" t="s">
        <v>6</v>
      </c>
      <c r="H31" s="33" t="e">
        <f t="shared" ref="H31:H36" si="5">I31/C31</f>
        <v>#DIV/0!</v>
      </c>
      <c r="I31" s="33">
        <f t="shared" ref="I31:I36" si="6">D31*C31/SQRT(1+C31^2)</f>
        <v>0</v>
      </c>
      <c r="J31" s="32" t="s">
        <v>6</v>
      </c>
      <c r="K31" s="1" t="e">
        <f t="shared" ref="K31:K36" si="7">H31^2+I31^2</f>
        <v>#DIV/0!</v>
      </c>
      <c r="L31" s="19">
        <f t="shared" ref="L31:L36" si="8">IF(D31=0,0,H31/K31)</f>
        <v>0</v>
      </c>
      <c r="M31" s="19">
        <f t="shared" ref="M31:M36" si="9">IF(D31=0,0,-I31/K31)</f>
        <v>0</v>
      </c>
      <c r="N31" s="2" t="s">
        <v>62</v>
      </c>
    </row>
    <row r="32" spans="2:19" ht="15" customHeight="1" x14ac:dyDescent="0.25">
      <c r="B32" s="67">
        <v>2</v>
      </c>
      <c r="C32" s="73"/>
      <c r="D32" s="77"/>
      <c r="E32" s="13" t="s">
        <v>6</v>
      </c>
      <c r="H32" s="3" t="e">
        <f t="shared" si="5"/>
        <v>#DIV/0!</v>
      </c>
      <c r="I32" s="3">
        <f t="shared" si="6"/>
        <v>0</v>
      </c>
      <c r="J32" s="2" t="s">
        <v>6</v>
      </c>
      <c r="K32" s="1" t="e">
        <f t="shared" si="7"/>
        <v>#DIV/0!</v>
      </c>
      <c r="L32" s="19">
        <f t="shared" si="8"/>
        <v>0</v>
      </c>
      <c r="M32" s="19">
        <f t="shared" si="9"/>
        <v>0</v>
      </c>
      <c r="N32" s="2" t="s">
        <v>62</v>
      </c>
    </row>
    <row r="33" spans="2:19" ht="15" customHeight="1" x14ac:dyDescent="0.25">
      <c r="B33" s="67">
        <v>3</v>
      </c>
      <c r="C33" s="73"/>
      <c r="D33" s="77"/>
      <c r="E33" s="13" t="s">
        <v>6</v>
      </c>
      <c r="H33" s="3" t="e">
        <f t="shared" si="5"/>
        <v>#DIV/0!</v>
      </c>
      <c r="I33" s="3">
        <f t="shared" si="6"/>
        <v>0</v>
      </c>
      <c r="J33" s="2" t="s">
        <v>6</v>
      </c>
      <c r="K33" s="40" t="e">
        <f t="shared" si="7"/>
        <v>#DIV/0!</v>
      </c>
      <c r="L33" s="19">
        <f t="shared" si="8"/>
        <v>0</v>
      </c>
      <c r="M33" s="19">
        <f t="shared" si="9"/>
        <v>0</v>
      </c>
      <c r="N33" s="2" t="s">
        <v>62</v>
      </c>
    </row>
    <row r="34" spans="2:19" ht="15" customHeight="1" x14ac:dyDescent="0.25">
      <c r="B34" s="67">
        <v>4</v>
      </c>
      <c r="C34" s="73"/>
      <c r="D34" s="77"/>
      <c r="E34" s="13" t="s">
        <v>6</v>
      </c>
      <c r="H34" s="3" t="e">
        <f t="shared" si="5"/>
        <v>#DIV/0!</v>
      </c>
      <c r="I34" s="3">
        <f t="shared" si="6"/>
        <v>0</v>
      </c>
      <c r="J34" s="2" t="s">
        <v>6</v>
      </c>
      <c r="K34" s="40" t="e">
        <f t="shared" si="7"/>
        <v>#DIV/0!</v>
      </c>
      <c r="L34" s="19">
        <f t="shared" si="8"/>
        <v>0</v>
      </c>
      <c r="M34" s="19">
        <f t="shared" si="9"/>
        <v>0</v>
      </c>
      <c r="N34" s="2" t="s">
        <v>62</v>
      </c>
    </row>
    <row r="35" spans="2:19" ht="15" customHeight="1" x14ac:dyDescent="0.25">
      <c r="B35" s="67">
        <v>5</v>
      </c>
      <c r="C35" s="77"/>
      <c r="D35" s="77"/>
      <c r="E35" s="13" t="s">
        <v>6</v>
      </c>
      <c r="H35" s="3" t="e">
        <f t="shared" si="5"/>
        <v>#DIV/0!</v>
      </c>
      <c r="I35" s="3">
        <f t="shared" si="6"/>
        <v>0</v>
      </c>
      <c r="J35" s="2" t="s">
        <v>6</v>
      </c>
      <c r="K35" s="40" t="e">
        <f t="shared" si="7"/>
        <v>#DIV/0!</v>
      </c>
      <c r="L35" s="19">
        <f t="shared" si="8"/>
        <v>0</v>
      </c>
      <c r="M35" s="19">
        <f t="shared" si="9"/>
        <v>0</v>
      </c>
      <c r="N35" s="2" t="s">
        <v>62</v>
      </c>
    </row>
    <row r="36" spans="2:19" ht="15" customHeight="1" x14ac:dyDescent="0.25">
      <c r="B36" s="14">
        <v>6</v>
      </c>
      <c r="C36" s="78"/>
      <c r="D36" s="79"/>
      <c r="E36" s="13" t="s">
        <v>6</v>
      </c>
      <c r="H36" s="3" t="e">
        <f t="shared" si="5"/>
        <v>#DIV/0!</v>
      </c>
      <c r="I36" s="3">
        <f t="shared" si="6"/>
        <v>0</v>
      </c>
      <c r="J36" s="23" t="s">
        <v>6</v>
      </c>
      <c r="K36" s="41" t="e">
        <f t="shared" si="7"/>
        <v>#DIV/0!</v>
      </c>
      <c r="L36" s="42">
        <f t="shared" si="8"/>
        <v>0</v>
      </c>
      <c r="M36" s="42">
        <f t="shared" si="9"/>
        <v>0</v>
      </c>
      <c r="N36" s="23" t="s">
        <v>62</v>
      </c>
    </row>
    <row r="37" spans="2:19" ht="15" customHeight="1" x14ac:dyDescent="0.25">
      <c r="B37" s="22"/>
      <c r="C37" s="22"/>
      <c r="D37" s="22"/>
      <c r="E37" s="22"/>
      <c r="F37" s="22"/>
      <c r="G37" s="31" t="s">
        <v>48</v>
      </c>
      <c r="H37" s="38" t="e">
        <f>L37/$K37</f>
        <v>#DIV/0!</v>
      </c>
      <c r="I37" s="38" t="e">
        <f>-M37/$K37</f>
        <v>#DIV/0!</v>
      </c>
      <c r="J37" s="32" t="s">
        <v>6</v>
      </c>
      <c r="K37" s="36">
        <f>L37^2+M37^2</f>
        <v>0</v>
      </c>
      <c r="L37" s="36">
        <f>SUM(L31:L36)</f>
        <v>0</v>
      </c>
      <c r="M37" s="36">
        <f>SUM(M31:M36)</f>
        <v>0</v>
      </c>
      <c r="N37" s="32" t="s">
        <v>62</v>
      </c>
    </row>
    <row r="38" spans="2:19" s="28" customFormat="1" ht="5.25" customHeight="1" thickBot="1" x14ac:dyDescent="0.3">
      <c r="O38" s="29"/>
      <c r="P38" s="29"/>
      <c r="Q38" s="29"/>
      <c r="R38" s="29"/>
      <c r="S38" s="29"/>
    </row>
    <row r="39" spans="2:19" ht="8.25" customHeight="1" thickTop="1" x14ac:dyDescent="0.25"/>
    <row r="40" spans="2:19" ht="15" customHeight="1" x14ac:dyDescent="0.25">
      <c r="B40" s="15" t="s">
        <v>45</v>
      </c>
    </row>
    <row r="41" spans="2:19" ht="15" customHeight="1" x14ac:dyDescent="0.25">
      <c r="B41" s="15"/>
      <c r="C41" s="67" t="s">
        <v>44</v>
      </c>
      <c r="D41" s="67" t="s">
        <v>43</v>
      </c>
      <c r="H41" s="67" t="s">
        <v>9</v>
      </c>
      <c r="I41" s="67" t="s">
        <v>10</v>
      </c>
    </row>
    <row r="42" spans="2:19" ht="15" customHeight="1" x14ac:dyDescent="0.25">
      <c r="C42" s="73"/>
      <c r="D42" s="80"/>
      <c r="E42" s="2" t="s">
        <v>6</v>
      </c>
      <c r="G42" s="16"/>
      <c r="H42" s="3" t="e">
        <f>I42/C42</f>
        <v>#DIV/0!</v>
      </c>
      <c r="I42" s="3">
        <f>D42*C42/SQRT(1+C42^2)</f>
        <v>0</v>
      </c>
      <c r="J42" s="2" t="s">
        <v>6</v>
      </c>
      <c r="K42" s="3"/>
    </row>
    <row r="43" spans="2:19" ht="15" customHeight="1" x14ac:dyDescent="0.25">
      <c r="C43"/>
      <c r="D43"/>
      <c r="E43"/>
      <c r="G43" s="16"/>
      <c r="H43" s="3"/>
      <c r="I43" s="3"/>
      <c r="J43" s="2"/>
    </row>
    <row r="44" spans="2:19" s="28" customFormat="1" ht="5.25" customHeight="1" thickBot="1" x14ac:dyDescent="0.3">
      <c r="O44" s="29"/>
      <c r="P44" s="29"/>
      <c r="Q44" s="29"/>
      <c r="R44" s="29"/>
      <c r="S44" s="29"/>
    </row>
    <row r="45" spans="2:19" ht="6" customHeight="1" thickTop="1" x14ac:dyDescent="0.25"/>
    <row r="46" spans="2:19" ht="15" customHeight="1" x14ac:dyDescent="0.25">
      <c r="D46" s="9" t="s">
        <v>47</v>
      </c>
      <c r="E46" s="74" t="s">
        <v>46</v>
      </c>
    </row>
    <row r="47" spans="2:19" ht="15" customHeight="1" x14ac:dyDescent="0.25">
      <c r="D47" s="9"/>
      <c r="E47" s="50" t="s">
        <v>1</v>
      </c>
      <c r="F47" s="68" t="s">
        <v>2</v>
      </c>
      <c r="G47" s="68"/>
      <c r="H47" s="68" t="s">
        <v>0</v>
      </c>
      <c r="I47" s="68" t="s">
        <v>3</v>
      </c>
      <c r="J47" s="68"/>
      <c r="K47" s="68"/>
      <c r="L47" s="68" t="s">
        <v>13</v>
      </c>
      <c r="M47" s="68" t="s">
        <v>14</v>
      </c>
      <c r="N47" s="68"/>
    </row>
    <row r="48" spans="2:19" ht="15" customHeight="1" x14ac:dyDescent="0.25">
      <c r="D48" s="9" t="s">
        <v>46</v>
      </c>
      <c r="E48" s="64">
        <f>C11</f>
        <v>2.5391999999999997</v>
      </c>
      <c r="F48" s="3">
        <f>D11</f>
        <v>22.0593</v>
      </c>
      <c r="G48" s="2" t="s">
        <v>6</v>
      </c>
      <c r="H48" s="62">
        <f>L48/$K48</f>
        <v>2.5989551011647816</v>
      </c>
      <c r="I48" s="62">
        <f>-M48/$K48</f>
        <v>18.761569429380785</v>
      </c>
      <c r="J48" s="2" t="s">
        <v>6</v>
      </c>
      <c r="K48" s="37">
        <f>L48^2+M48^2</f>
        <v>2.7874482482041101E-3</v>
      </c>
      <c r="L48" s="19">
        <f>L11+IF(M16="YNd",L25,IF(M16="Dyn",0,NA()))</f>
        <v>7.2444528439029061E-3</v>
      </c>
      <c r="M48" s="19">
        <f>M11+IF(M16="YNd",M25,IF(M16="Dyn",0,NA()))</f>
        <v>-5.2296903839487256E-2</v>
      </c>
      <c r="N48" s="2" t="s">
        <v>62</v>
      </c>
    </row>
    <row r="49" spans="2:19" ht="15" customHeight="1" x14ac:dyDescent="0.25">
      <c r="D49" s="9" t="s">
        <v>50</v>
      </c>
      <c r="E49" s="64">
        <f>C12+H26</f>
        <v>5.8736298611565915E-2</v>
      </c>
      <c r="F49" s="3">
        <f>D12+I26</f>
        <v>1.5818044614078444</v>
      </c>
      <c r="G49" s="2" t="s">
        <v>6</v>
      </c>
      <c r="H49" s="62" t="e">
        <f>L49/$K49</f>
        <v>#DIV/0!</v>
      </c>
      <c r="I49" s="62" t="e">
        <f>-M49/$K49</f>
        <v>#DIV/0!</v>
      </c>
      <c r="J49" s="2" t="s">
        <v>6</v>
      </c>
      <c r="K49" s="37">
        <f>L49^2+M49^2</f>
        <v>0</v>
      </c>
      <c r="L49" s="19">
        <f>IF(M16="YNd",0,IF(M16="Dyn",L26,NA()))+L37</f>
        <v>0</v>
      </c>
      <c r="M49" s="19">
        <f>IF(M16="YNd",0,IF(M16="Dyn",M26,NA()))+M37</f>
        <v>0</v>
      </c>
      <c r="N49" s="2" t="s">
        <v>62</v>
      </c>
    </row>
    <row r="50" spans="2:19" ht="15" customHeight="1" x14ac:dyDescent="0.25">
      <c r="D50" s="9" t="s">
        <v>51</v>
      </c>
      <c r="E50" s="65" t="e">
        <f>E49+H42</f>
        <v>#DIV/0!</v>
      </c>
      <c r="F50" s="21">
        <f>F49+I42</f>
        <v>1.5818044614078444</v>
      </c>
      <c r="G50" s="23" t="s">
        <v>6</v>
      </c>
      <c r="H50" s="21" t="e">
        <f>H49+H42</f>
        <v>#DIV/0!</v>
      </c>
      <c r="I50" s="21" t="e">
        <f>I49+I42</f>
        <v>#DIV/0!</v>
      </c>
      <c r="J50" s="23" t="s">
        <v>6</v>
      </c>
      <c r="K50" s="68"/>
      <c r="L50" s="68"/>
      <c r="M50" s="68"/>
      <c r="N50" s="68"/>
    </row>
    <row r="51" spans="2:19" ht="15" customHeight="1" x14ac:dyDescent="0.25">
      <c r="D51" s="9" t="s">
        <v>61</v>
      </c>
      <c r="E51" s="63">
        <f>IF($E$46="HT",E48,IF($E$46="Barre MT",E49,IF($E$46="Lignes MT",E50,NA())))</f>
        <v>2.5391999999999997</v>
      </c>
      <c r="F51" s="63">
        <f>IF($E$46="HT",F48,IF($E$46="Barre MT",F49,IF($E$46="Lignes MT",F50,NA())))</f>
        <v>22.0593</v>
      </c>
      <c r="G51" s="32" t="s">
        <v>6</v>
      </c>
      <c r="H51" s="63">
        <f>IF($E$46="HT",H48,IF($E$46="Barre MT",H49,IF($E$46="Lignes MT",H50,NA())))</f>
        <v>2.5989551011647816</v>
      </c>
      <c r="I51" s="63">
        <f>IF($E$46="HT",I48,IF($E$46="Barre MT",I49,IF($E$46="Lignes MT",I50,NA())))</f>
        <v>18.761569429380785</v>
      </c>
      <c r="J51" s="32" t="s">
        <v>6</v>
      </c>
      <c r="L51" s="67" t="s">
        <v>60</v>
      </c>
      <c r="M51" s="3">
        <f>IF(E46="HT",H7,IF(OR(E46="Barre MT",E46="Lignes MT"),H7/G16*H16,NA()))</f>
        <v>230</v>
      </c>
      <c r="N51" s="2" t="s">
        <v>5</v>
      </c>
    </row>
    <row r="52" spans="2:19" ht="7.5" customHeight="1" x14ac:dyDescent="0.25">
      <c r="B52" s="68"/>
      <c r="C52" s="68"/>
      <c r="D52" s="47"/>
      <c r="E52" s="68"/>
      <c r="F52" s="68"/>
      <c r="G52" s="68"/>
      <c r="H52" s="68"/>
      <c r="I52" s="68"/>
      <c r="J52" s="68"/>
      <c r="K52" s="27"/>
      <c r="L52" s="27"/>
      <c r="M52" s="27"/>
      <c r="N52" s="68"/>
      <c r="O52" s="68"/>
      <c r="P52" s="68"/>
      <c r="Q52" s="68"/>
    </row>
    <row r="53" spans="2:19" ht="4.5" customHeight="1" x14ac:dyDescent="0.25">
      <c r="B53" s="22"/>
      <c r="C53" s="22"/>
      <c r="D53" s="22"/>
      <c r="E53" s="22"/>
      <c r="F53" s="22"/>
      <c r="G53" s="22"/>
      <c r="H53" s="22"/>
      <c r="I53" s="30"/>
      <c r="J53" s="22"/>
      <c r="K53" s="22"/>
      <c r="L53" s="22"/>
      <c r="M53" s="22"/>
      <c r="N53" s="22"/>
      <c r="O53" s="22"/>
      <c r="P53" s="22"/>
      <c r="Q53" s="22"/>
    </row>
    <row r="54" spans="2:19" ht="15" customHeight="1" x14ac:dyDescent="0.25">
      <c r="B54" s="8" t="s">
        <v>35</v>
      </c>
      <c r="C54" s="81">
        <v>0.1</v>
      </c>
      <c r="I54" s="44" t="s">
        <v>54</v>
      </c>
      <c r="J54" s="73">
        <v>50</v>
      </c>
      <c r="K54" s="2" t="s">
        <v>55</v>
      </c>
      <c r="M54" s="88" t="s">
        <v>37</v>
      </c>
      <c r="N54" s="88"/>
      <c r="O54" s="88"/>
      <c r="P54" s="88"/>
      <c r="Q54" s="88"/>
    </row>
    <row r="55" spans="2:19" ht="6" customHeight="1" x14ac:dyDescent="0.25">
      <c r="E55" s="14"/>
      <c r="F55" s="14"/>
      <c r="G55" s="14"/>
      <c r="H55" s="14"/>
      <c r="I55" s="17"/>
      <c r="J55" s="14"/>
      <c r="K55" s="14"/>
      <c r="L55" s="14"/>
      <c r="M55" s="14"/>
      <c r="N55" s="14"/>
      <c r="O55" s="14"/>
      <c r="P55" s="14"/>
      <c r="Q55" s="14"/>
    </row>
    <row r="56" spans="2:19" x14ac:dyDescent="0.25">
      <c r="B56" s="68"/>
      <c r="C56" s="68"/>
      <c r="D56" s="68"/>
      <c r="E56" s="12" t="s">
        <v>18</v>
      </c>
      <c r="F56" s="68"/>
      <c r="G56" s="68"/>
      <c r="H56" s="68"/>
      <c r="I56" s="68"/>
      <c r="J56" s="12" t="s">
        <v>52</v>
      </c>
      <c r="K56" s="12" t="s">
        <v>53</v>
      </c>
      <c r="L56" s="68"/>
      <c r="M56" s="68" t="s">
        <v>58</v>
      </c>
      <c r="N56" s="68" t="s">
        <v>59</v>
      </c>
      <c r="O56" s="68"/>
      <c r="P56" s="89" t="s">
        <v>57</v>
      </c>
      <c r="Q56" s="89"/>
      <c r="R56" s="68" t="s">
        <v>44</v>
      </c>
    </row>
    <row r="57" spans="2:19" x14ac:dyDescent="0.25">
      <c r="C57" s="9" t="s">
        <v>15</v>
      </c>
      <c r="D57" s="5"/>
      <c r="E57" s="69">
        <f>M51*1000/SQRT(3)/SQRT(E51^2+F51^2)*(1+C54)</f>
        <v>6578.2427635178674</v>
      </c>
      <c r="F57" s="2" t="s">
        <v>16</v>
      </c>
      <c r="G57" s="8"/>
      <c r="H57" s="4"/>
      <c r="I57" s="2"/>
      <c r="J57" s="45">
        <f>(1.02+0.98*EXP(-3*M57/N57))*E57*SQRT(2)</f>
        <v>15943.841256698603</v>
      </c>
      <c r="K57" s="69">
        <f>E57*SQRT(1+2*EXP(-2*$J$54/P57))</f>
        <v>6663.4936031853622</v>
      </c>
      <c r="L57" s="2" t="s">
        <v>16</v>
      </c>
      <c r="M57" s="3">
        <f>E51</f>
        <v>2.5391999999999997</v>
      </c>
      <c r="N57" s="3">
        <f>F51</f>
        <v>22.0593</v>
      </c>
      <c r="O57" s="2" t="s">
        <v>6</v>
      </c>
      <c r="P57" s="85">
        <f>N57/M57/(2*PI()*60)*1000</f>
        <v>23.044309468514019</v>
      </c>
      <c r="Q57" s="2" t="s">
        <v>55</v>
      </c>
      <c r="R57" s="85">
        <f t="shared" ref="R57:R60" si="10">N57/M57</f>
        <v>8.6875000000000018</v>
      </c>
    </row>
    <row r="58" spans="2:19" x14ac:dyDescent="0.25">
      <c r="C58" s="9" t="s">
        <v>17</v>
      </c>
      <c r="D58" s="5"/>
      <c r="E58" s="69">
        <f>M51*1000/SQRT(3)/SQRT(M58^2+N58^2)*(1+C54)</f>
        <v>6917.5814315925527</v>
      </c>
      <c r="F58" s="2" t="s">
        <v>16</v>
      </c>
      <c r="J58" s="69">
        <f>(1.02+0.98*EXP(-3*M58/N58))*E58*SQRT(2)</f>
        <v>16625.505986372013</v>
      </c>
      <c r="K58" s="69">
        <f>E58*SQRT(1+2*EXP(-2*$J$54/P58))</f>
        <v>6986.5722684530665</v>
      </c>
      <c r="L58" s="2" t="s">
        <v>16</v>
      </c>
      <c r="M58" s="3">
        <f>(2*E51+H51)/3</f>
        <v>2.5591183670549271</v>
      </c>
      <c r="N58" s="3">
        <f>(2*F51+I51)/3</f>
        <v>20.960056476460263</v>
      </c>
      <c r="O58" s="2" t="s">
        <v>6</v>
      </c>
      <c r="P58" s="85">
        <f t="shared" ref="P58:P60" si="11">N58/M58/(2*PI()*60)*1000</f>
        <v>21.725558813919097</v>
      </c>
      <c r="Q58" s="2" t="s">
        <v>55</v>
      </c>
      <c r="R58" s="85">
        <f t="shared" si="10"/>
        <v>8.190342715792946</v>
      </c>
    </row>
    <row r="59" spans="2:19" x14ac:dyDescent="0.25">
      <c r="C59" s="9" t="s">
        <v>34</v>
      </c>
      <c r="D59" s="5" t="s">
        <v>19</v>
      </c>
      <c r="E59" s="69">
        <f>M51*1000*SQRT(E73^2+F73^2)*(1+C54)</f>
        <v>7621.4006643727098</v>
      </c>
      <c r="F59" s="2" t="s">
        <v>16</v>
      </c>
      <c r="G59" s="67" t="s">
        <v>24</v>
      </c>
      <c r="H59" s="77">
        <v>6.7739188476179324</v>
      </c>
      <c r="I59" s="2" t="s">
        <v>6</v>
      </c>
      <c r="J59" s="45">
        <f>(1.02+0.98*0.8*EXP(-3*M59/N59))*E59*SQRT(2)</f>
        <v>16976.504809336348</v>
      </c>
      <c r="K59" s="45">
        <f>E59*SQRT(1+2*0.8^2*EXP(-2*$J$54/P59))</f>
        <v>7684.7594897028639</v>
      </c>
      <c r="L59" s="2" t="s">
        <v>68</v>
      </c>
      <c r="M59" s="3">
        <f>M57</f>
        <v>2.5391999999999997</v>
      </c>
      <c r="N59" s="3">
        <f>N57</f>
        <v>22.0593</v>
      </c>
      <c r="O59" s="2" t="s">
        <v>6</v>
      </c>
      <c r="P59" s="4">
        <f t="shared" si="11"/>
        <v>23.044309468514019</v>
      </c>
      <c r="Q59" s="2" t="s">
        <v>55</v>
      </c>
      <c r="R59" s="4">
        <f t="shared" si="10"/>
        <v>8.6875000000000018</v>
      </c>
    </row>
    <row r="60" spans="2:19" x14ac:dyDescent="0.25">
      <c r="B60" s="68"/>
      <c r="C60" s="12"/>
      <c r="D60" s="12" t="s">
        <v>20</v>
      </c>
      <c r="E60" s="48">
        <f>M51*1000*SQRT(K73^2+L73^2)*(1+C54)</f>
        <v>6719.3606450756579</v>
      </c>
      <c r="F60" s="23" t="s">
        <v>16</v>
      </c>
      <c r="G60" s="68" t="s">
        <v>24</v>
      </c>
      <c r="H60" s="79">
        <v>0</v>
      </c>
      <c r="I60" s="23" t="s">
        <v>6</v>
      </c>
      <c r="J60" s="48">
        <f>(1.02+0.98*EXP(-3*0.8*M60/N60))*E60*SQRT(2)</f>
        <v>16757.323227830893</v>
      </c>
      <c r="K60" s="48">
        <f>E60*SQRT(1+2*0.8^2*EXP(-2*$J$54/P60))</f>
        <v>6775.2205606200268</v>
      </c>
      <c r="L60" s="23" t="s">
        <v>68</v>
      </c>
      <c r="M60" s="21">
        <f>M57</f>
        <v>2.5391999999999997</v>
      </c>
      <c r="N60" s="21">
        <f>N57</f>
        <v>22.0593</v>
      </c>
      <c r="O60" s="23" t="s">
        <v>6</v>
      </c>
      <c r="P60" s="26">
        <f t="shared" si="11"/>
        <v>23.044309468514019</v>
      </c>
      <c r="Q60" s="23" t="s">
        <v>55</v>
      </c>
      <c r="R60" s="26">
        <f t="shared" si="10"/>
        <v>8.6875000000000018</v>
      </c>
    </row>
    <row r="61" spans="2:19" x14ac:dyDescent="0.25">
      <c r="B61" s="22"/>
      <c r="C61" s="51" t="s">
        <v>56</v>
      </c>
      <c r="D61" s="22"/>
      <c r="E61" s="49">
        <f>MAX(E57:E60)</f>
        <v>7621.4006643727098</v>
      </c>
      <c r="F61" s="32" t="s">
        <v>16</v>
      </c>
      <c r="G61" s="22"/>
      <c r="H61" s="22"/>
      <c r="I61" s="22"/>
      <c r="J61" s="49">
        <f>MAX(J57:J60)</f>
        <v>16976.504809336348</v>
      </c>
      <c r="K61" s="49">
        <f>MAX(K57:K60)</f>
        <v>7684.7594897028639</v>
      </c>
      <c r="L61" s="32" t="s">
        <v>16</v>
      </c>
      <c r="M61" s="22"/>
      <c r="N61" s="22"/>
      <c r="O61" s="22"/>
      <c r="P61" s="22"/>
      <c r="Q61" s="22"/>
    </row>
    <row r="62" spans="2:19" s="28" customFormat="1" ht="5.25" customHeight="1" thickBot="1" x14ac:dyDescent="0.3">
      <c r="O62" s="29"/>
      <c r="P62" s="29"/>
      <c r="Q62" s="29"/>
      <c r="R62" s="29"/>
      <c r="S62" s="29"/>
    </row>
    <row r="63" spans="2:19" ht="6" customHeight="1" thickTop="1" x14ac:dyDescent="0.25"/>
    <row r="65" spans="2:17" x14ac:dyDescent="0.25">
      <c r="B65" s="2" t="s">
        <v>36</v>
      </c>
      <c r="D65" s="46"/>
    </row>
    <row r="66" spans="2:17" x14ac:dyDescent="0.25">
      <c r="D66" s="8" t="s">
        <v>22</v>
      </c>
      <c r="E66" s="67">
        <v>-0.5</v>
      </c>
      <c r="F66" s="67">
        <f>+SQRT(3)/2</f>
        <v>0.8660254037844386</v>
      </c>
      <c r="J66" s="8" t="s">
        <v>23</v>
      </c>
      <c r="K66" s="67">
        <f>E66</f>
        <v>-0.5</v>
      </c>
      <c r="L66" s="67">
        <f>-F66</f>
        <v>-0.8660254037844386</v>
      </c>
      <c r="O66" s="8"/>
      <c r="P66" s="1"/>
      <c r="Q66" s="2"/>
    </row>
    <row r="67" spans="2:17" x14ac:dyDescent="0.25">
      <c r="D67" s="8" t="s">
        <v>28</v>
      </c>
      <c r="E67" s="67">
        <f>H51+3*H59</f>
        <v>22.920711644018581</v>
      </c>
      <c r="F67" s="3">
        <f>I51</f>
        <v>18.761569429380785</v>
      </c>
      <c r="J67" s="8" t="s">
        <v>28</v>
      </c>
      <c r="K67" s="67">
        <f>H51+3*H60</f>
        <v>2.5989551011647816</v>
      </c>
      <c r="L67" s="3">
        <f>I51</f>
        <v>18.761569429380785</v>
      </c>
      <c r="O67" s="8"/>
      <c r="P67" s="1"/>
      <c r="Q67" s="2"/>
    </row>
    <row r="68" spans="2:17" x14ac:dyDescent="0.25">
      <c r="D68" s="8" t="s">
        <v>21</v>
      </c>
      <c r="E68" s="1">
        <f>E66*$E$51-F66*$F$51</f>
        <v>-20.373514189702068</v>
      </c>
      <c r="F68" s="1">
        <f>E66*$F$51+F66*$E$51</f>
        <v>-8.8306382947105533</v>
      </c>
      <c r="J68" s="8" t="s">
        <v>30</v>
      </c>
      <c r="K68" s="1">
        <f>K66*$E$51-L66*$F$51</f>
        <v>17.834314189702066</v>
      </c>
      <c r="L68" s="1">
        <f>K66*$F$51+L66*$E$51</f>
        <v>-13.228661705289447</v>
      </c>
    </row>
    <row r="69" spans="2:17" x14ac:dyDescent="0.25">
      <c r="D69" s="9" t="s">
        <v>25</v>
      </c>
      <c r="E69" s="10">
        <f>E67-E68</f>
        <v>43.294225833720645</v>
      </c>
      <c r="F69" s="10">
        <f>F67-F68</f>
        <v>27.592207724091338</v>
      </c>
      <c r="J69" s="9" t="s">
        <v>31</v>
      </c>
      <c r="K69" s="10">
        <f>K67-K68</f>
        <v>-15.235359088537285</v>
      </c>
      <c r="L69" s="10">
        <f>L67-L68</f>
        <v>31.990231134670232</v>
      </c>
    </row>
    <row r="70" spans="2:17" x14ac:dyDescent="0.25">
      <c r="D70" s="8" t="s">
        <v>27</v>
      </c>
      <c r="E70" s="3">
        <f>E51^2-F51^2</f>
        <v>-480.16517985000002</v>
      </c>
      <c r="F70" s="67">
        <f>2*E51*F51</f>
        <v>112.02594911999999</v>
      </c>
      <c r="J70" s="8" t="s">
        <v>27</v>
      </c>
      <c r="K70" s="3">
        <f>E70</f>
        <v>-480.16517985000002</v>
      </c>
      <c r="L70" s="3">
        <f>F70</f>
        <v>112.02594911999999</v>
      </c>
    </row>
    <row r="71" spans="2:17" x14ac:dyDescent="0.25">
      <c r="D71" s="8" t="s">
        <v>29</v>
      </c>
      <c r="E71" s="67">
        <f>E51*E67-F51*F67</f>
        <v>-355.6668175070476</v>
      </c>
      <c r="F71" s="67">
        <f>E51*F67+F51*E67</f>
        <v>553.25423146398282</v>
      </c>
      <c r="J71" s="8" t="s">
        <v>29</v>
      </c>
      <c r="K71" s="67">
        <f>E51*K67-F51*L67</f>
        <v>-407.26782172066197</v>
      </c>
      <c r="L71" s="67">
        <f>E51*L67+F51*K67</f>
        <v>104.97050735820795</v>
      </c>
    </row>
    <row r="72" spans="2:17" x14ac:dyDescent="0.25">
      <c r="D72" s="9" t="s">
        <v>26</v>
      </c>
      <c r="E72" s="5">
        <f>E70+2*E71</f>
        <v>-1191.4988148640953</v>
      </c>
      <c r="F72" s="5">
        <f>F70+2*F71</f>
        <v>1218.5344120479656</v>
      </c>
      <c r="G72" s="67">
        <f>E72^2+F72^2</f>
        <v>2904495.5391676249</v>
      </c>
      <c r="J72" s="9" t="s">
        <v>26</v>
      </c>
      <c r="K72" s="5">
        <f>K70+2*K71</f>
        <v>-1294.700823291324</v>
      </c>
      <c r="L72" s="5">
        <f>L70+2*L71</f>
        <v>321.96696383641591</v>
      </c>
      <c r="M72" s="67">
        <f>K72^2+L72^2</f>
        <v>1779912.9476332723</v>
      </c>
    </row>
    <row r="73" spans="2:17" x14ac:dyDescent="0.25">
      <c r="D73" s="8" t="s">
        <v>32</v>
      </c>
      <c r="E73" s="67">
        <f>(E69*E72+F69*F72)/G72</f>
        <v>-6.1845383864158133E-3</v>
      </c>
      <c r="F73" s="67">
        <f>(-E69*F72+F69*E72)/G72</f>
        <v>-2.948243013953598E-2</v>
      </c>
      <c r="J73" s="8" t="s">
        <v>33</v>
      </c>
      <c r="K73" s="67">
        <f>(K69*K72+L69*L72)/M72</f>
        <v>1.6868819110421686E-2</v>
      </c>
      <c r="L73" s="67">
        <f>(-K69*L72+L69*K72)/M72</f>
        <v>-2.0513641595333976E-2</v>
      </c>
    </row>
  </sheetData>
  <sheetProtection algorithmName="SHA-512" hashValue="FOEXCX94DvF76IQJB46DjSTZQmRqppz4dJRaqhUbRNoFat1x/xjsVGGnn/FlHOe2DHx+SbN24qhmo+/hsIx0Lg==" saltValue="W+QutspdElwA+KPyxwEOmA==" spinCount="100000" sheet="1" objects="1" scenarios="1"/>
  <mergeCells count="2">
    <mergeCell ref="M54:Q54"/>
    <mergeCell ref="P56:Q5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 2-1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Laflamme</dc:creator>
  <cp:lastModifiedBy>Jean-Pierre Laflamme</cp:lastModifiedBy>
  <dcterms:created xsi:type="dcterms:W3CDTF">2014-09-21T13:13:17Z</dcterms:created>
  <dcterms:modified xsi:type="dcterms:W3CDTF">2015-03-09T15:51:56Z</dcterms:modified>
</cp:coreProperties>
</file>